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4\"/>
    </mc:Choice>
  </mc:AlternateContent>
  <xr:revisionPtr revIDLastSave="0" documentId="13_ncr:1_{F0A83BCC-28AA-4819-8F9B-D9BFFF189A70}" xr6:coauthVersionLast="47" xr6:coauthVersionMax="47" xr10:uidLastSave="{00000000-0000-0000-0000-000000000000}"/>
  <bookViews>
    <workbookView xWindow="-120" yWindow="-120" windowWidth="20730" windowHeight="11310" tabRatio="821" activeTab="11" xr2:uid="{00000000-000D-0000-FFFF-FFFF00000000}"/>
  </bookViews>
  <sheets>
    <sheet name="ENERO" sheetId="16" r:id="rId1"/>
    <sheet name="FEBRERO" sheetId="17" r:id="rId2"/>
    <sheet name="MARZO" sheetId="18" r:id="rId3"/>
    <sheet name="ABRIL" sheetId="19" r:id="rId4"/>
    <sheet name="MAYO" sheetId="20" r:id="rId5"/>
    <sheet name="JUNIO" sheetId="21" r:id="rId6"/>
    <sheet name="JULIO" sheetId="22" r:id="rId7"/>
    <sheet name="AGOSTO" sheetId="23" r:id="rId8"/>
    <sheet name="SEPTIEMBRE" sheetId="24" r:id="rId9"/>
    <sheet name="OCTUBRE" sheetId="25" r:id="rId10"/>
    <sheet name="NOVIEMBRE" sheetId="26" r:id="rId11"/>
    <sheet name="DICIEMBRE" sheetId="2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27" l="1"/>
  <c r="M22" i="27" l="1"/>
  <c r="M19" i="27"/>
  <c r="L34" i="27"/>
  <c r="M28" i="27"/>
  <c r="L28" i="27"/>
  <c r="N28" i="27" s="1"/>
  <c r="M27" i="27"/>
  <c r="L27" i="27"/>
  <c r="N27" i="27" s="1"/>
  <c r="N26" i="27"/>
  <c r="L26" i="27"/>
  <c r="M25" i="27"/>
  <c r="N25" i="27" s="1"/>
  <c r="L25" i="27"/>
  <c r="M24" i="27"/>
  <c r="N24" i="27" s="1"/>
  <c r="L24" i="27"/>
  <c r="L23" i="27"/>
  <c r="L22" i="27"/>
  <c r="M21" i="27"/>
  <c r="L21" i="27"/>
  <c r="N21" i="27" s="1"/>
  <c r="M20" i="27"/>
  <c r="L20" i="27"/>
  <c r="N20" i="27" s="1"/>
  <c r="L19" i="27"/>
  <c r="M18" i="27"/>
  <c r="L18" i="27"/>
  <c r="N18" i="27" s="1"/>
  <c r="A15" i="27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14" i="27"/>
  <c r="M24" i="26"/>
  <c r="N23" i="27" l="1"/>
  <c r="N22" i="27"/>
  <c r="N19" i="27"/>
  <c r="L34" i="26"/>
  <c r="M28" i="26"/>
  <c r="L28" i="26"/>
  <c r="N28" i="26" s="1"/>
  <c r="M27" i="26"/>
  <c r="L27" i="26"/>
  <c r="N27" i="26" s="1"/>
  <c r="N26" i="26"/>
  <c r="L26" i="26"/>
  <c r="M25" i="26"/>
  <c r="N25" i="26" s="1"/>
  <c r="L25" i="26"/>
  <c r="N24" i="26"/>
  <c r="L24" i="26"/>
  <c r="L23" i="26"/>
  <c r="N23" i="26" s="1"/>
  <c r="M22" i="26"/>
  <c r="L22" i="26"/>
  <c r="N22" i="26" s="1"/>
  <c r="M21" i="26"/>
  <c r="L21" i="26"/>
  <c r="N21" i="26" s="1"/>
  <c r="M20" i="26"/>
  <c r="L20" i="26"/>
  <c r="N20" i="26" s="1"/>
  <c r="M19" i="26"/>
  <c r="L19" i="26"/>
  <c r="N19" i="26" s="1"/>
  <c r="M18" i="26"/>
  <c r="L18" i="26"/>
  <c r="N18" i="26" s="1"/>
  <c r="A15" i="26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14" i="26"/>
  <c r="M27" i="25"/>
  <c r="M28" i="25"/>
  <c r="M25" i="25"/>
  <c r="M24" i="25"/>
  <c r="M22" i="25"/>
  <c r="M19" i="25"/>
  <c r="L34" i="25" l="1"/>
  <c r="L28" i="25"/>
  <c r="N28" i="25" s="1"/>
  <c r="N27" i="25"/>
  <c r="L27" i="25"/>
  <c r="L26" i="25"/>
  <c r="N26" i="25" s="1"/>
  <c r="L25" i="25"/>
  <c r="N25" i="25" s="1"/>
  <c r="L24" i="25"/>
  <c r="N24" i="25" s="1"/>
  <c r="N23" i="25"/>
  <c r="L23" i="25"/>
  <c r="L22" i="25"/>
  <c r="M21" i="25"/>
  <c r="N21" i="25" s="1"/>
  <c r="L21" i="25"/>
  <c r="M20" i="25"/>
  <c r="L20" i="25"/>
  <c r="N19" i="25"/>
  <c r="L19" i="25"/>
  <c r="M18" i="25"/>
  <c r="N18" i="25" s="1"/>
  <c r="L18" i="25"/>
  <c r="A16" i="25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15" i="25"/>
  <c r="A14" i="25"/>
  <c r="M28" i="24"/>
  <c r="M27" i="24"/>
  <c r="M25" i="24"/>
  <c r="M24" i="24"/>
  <c r="M22" i="24"/>
  <c r="M20" i="24"/>
  <c r="M19" i="24"/>
  <c r="L34" i="24"/>
  <c r="L28" i="24"/>
  <c r="N28" i="24" s="1"/>
  <c r="L27" i="24"/>
  <c r="N27" i="24" s="1"/>
  <c r="N26" i="24"/>
  <c r="L26" i="24"/>
  <c r="L25" i="24"/>
  <c r="N24" i="24"/>
  <c r="L24" i="24"/>
  <c r="L23" i="24"/>
  <c r="N23" i="24" s="1"/>
  <c r="L22" i="24"/>
  <c r="M21" i="24"/>
  <c r="L21" i="24"/>
  <c r="N21" i="24" s="1"/>
  <c r="L20" i="24"/>
  <c r="L19" i="24"/>
  <c r="M18" i="24"/>
  <c r="L18" i="24"/>
  <c r="N18" i="24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14" i="24"/>
  <c r="M28" i="23"/>
  <c r="M27" i="23"/>
  <c r="M25" i="23"/>
  <c r="M24" i="23"/>
  <c r="M22" i="23"/>
  <c r="M19" i="23"/>
  <c r="N22" i="25" l="1"/>
  <c r="N20" i="25"/>
  <c r="N22" i="24"/>
  <c r="N20" i="24"/>
  <c r="N19" i="24"/>
  <c r="N25" i="24"/>
  <c r="L34" i="23"/>
  <c r="L28" i="23"/>
  <c r="N28" i="23" s="1"/>
  <c r="L27" i="23"/>
  <c r="N27" i="23" s="1"/>
  <c r="L26" i="23"/>
  <c r="N26" i="23" s="1"/>
  <c r="L25" i="23"/>
  <c r="N25" i="23" s="1"/>
  <c r="L24" i="23"/>
  <c r="N24" i="23" s="1"/>
  <c r="L23" i="23"/>
  <c r="N23" i="23" s="1"/>
  <c r="N22" i="23"/>
  <c r="L22" i="23"/>
  <c r="M21" i="23"/>
  <c r="N21" i="23" s="1"/>
  <c r="L21" i="23"/>
  <c r="M20" i="23"/>
  <c r="N20" i="23" s="1"/>
  <c r="L20" i="23"/>
  <c r="L19" i="23"/>
  <c r="N19" i="23" s="1"/>
  <c r="M18" i="23"/>
  <c r="L18" i="23"/>
  <c r="N18" i="23" s="1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14" i="23"/>
  <c r="L34" i="22"/>
  <c r="L28" i="22"/>
  <c r="N28" i="22" s="1"/>
  <c r="L27" i="22"/>
  <c r="N27" i="22" s="1"/>
  <c r="L26" i="22"/>
  <c r="N26" i="22" s="1"/>
  <c r="L25" i="22"/>
  <c r="N25" i="22" s="1"/>
  <c r="L24" i="22"/>
  <c r="N24" i="22" s="1"/>
  <c r="N23" i="22"/>
  <c r="L23" i="22"/>
  <c r="L22" i="22"/>
  <c r="N22" i="22" s="1"/>
  <c r="M21" i="22"/>
  <c r="L21" i="22"/>
  <c r="N21" i="22" s="1"/>
  <c r="M20" i="22"/>
  <c r="L20" i="22"/>
  <c r="N20" i="22" s="1"/>
  <c r="L19" i="22"/>
  <c r="N19" i="22" s="1"/>
  <c r="M18" i="22"/>
  <c r="L18" i="22"/>
  <c r="N18" i="22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L34" i="21"/>
  <c r="L28" i="21"/>
  <c r="N28" i="21" s="1"/>
  <c r="L27" i="21"/>
  <c r="N27" i="21" s="1"/>
  <c r="L26" i="21"/>
  <c r="N26" i="21" s="1"/>
  <c r="L25" i="21"/>
  <c r="N25" i="21" s="1"/>
  <c r="L24" i="21"/>
  <c r="N24" i="21" s="1"/>
  <c r="L23" i="21"/>
  <c r="N23" i="21" s="1"/>
  <c r="L22" i="21"/>
  <c r="N22" i="21" s="1"/>
  <c r="N21" i="21"/>
  <c r="M21" i="21"/>
  <c r="L21" i="21"/>
  <c r="N20" i="21"/>
  <c r="M20" i="21"/>
  <c r="L20" i="21"/>
  <c r="L19" i="21"/>
  <c r="N19" i="21" s="1"/>
  <c r="N18" i="21"/>
  <c r="M18" i="21"/>
  <c r="L18" i="21"/>
  <c r="A17" i="21"/>
  <c r="A18" i="21" s="1"/>
  <c r="A19" i="21" s="1"/>
  <c r="A20" i="21" s="1"/>
  <c r="A21" i="21" s="1"/>
  <c r="A22" i="21" s="1"/>
  <c r="A23" i="21" s="1"/>
  <c r="A24" i="21" s="1"/>
  <c r="A25" i="21" s="1"/>
  <c r="A26" i="21" s="1"/>
  <c r="A16" i="21"/>
  <c r="A15" i="21"/>
  <c r="A14" i="21"/>
  <c r="L34" i="20"/>
  <c r="L28" i="20"/>
  <c r="N28" i="20" s="1"/>
  <c r="L27" i="20"/>
  <c r="N27" i="20" s="1"/>
  <c r="L26" i="20"/>
  <c r="N26" i="20" s="1"/>
  <c r="L25" i="20"/>
  <c r="N25" i="20" s="1"/>
  <c r="L24" i="20"/>
  <c r="N24" i="20" s="1"/>
  <c r="L23" i="20"/>
  <c r="N23" i="20" s="1"/>
  <c r="L22" i="20"/>
  <c r="N22" i="20" s="1"/>
  <c r="M21" i="20"/>
  <c r="L21" i="20"/>
  <c r="N21" i="20" s="1"/>
  <c r="M20" i="20"/>
  <c r="L20" i="20"/>
  <c r="L19" i="20"/>
  <c r="N19" i="20" s="1"/>
  <c r="M18" i="20"/>
  <c r="L18" i="20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L34" i="19"/>
  <c r="L28" i="19"/>
  <c r="N28" i="19" s="1"/>
  <c r="L27" i="19"/>
  <c r="N27" i="19" s="1"/>
  <c r="N26" i="19"/>
  <c r="L26" i="19"/>
  <c r="L25" i="19"/>
  <c r="N25" i="19" s="1"/>
  <c r="M24" i="19"/>
  <c r="L24" i="19"/>
  <c r="N24" i="19" s="1"/>
  <c r="L23" i="19"/>
  <c r="N23" i="19" s="1"/>
  <c r="L22" i="19"/>
  <c r="N22" i="19" s="1"/>
  <c r="N21" i="19"/>
  <c r="M21" i="19"/>
  <c r="L21" i="19"/>
  <c r="N20" i="19"/>
  <c r="M20" i="19"/>
  <c r="L20" i="19"/>
  <c r="L19" i="19"/>
  <c r="N19" i="19" s="1"/>
  <c r="N18" i="19"/>
  <c r="M18" i="19"/>
  <c r="L18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M28" i="18"/>
  <c r="M25" i="18"/>
  <c r="L24" i="18"/>
  <c r="M24" i="18"/>
  <c r="M23" i="18"/>
  <c r="M22" i="18"/>
  <c r="M19" i="18"/>
  <c r="L34" i="18"/>
  <c r="L28" i="18"/>
  <c r="N28" i="18" s="1"/>
  <c r="M27" i="18"/>
  <c r="L27" i="18"/>
  <c r="M26" i="18"/>
  <c r="L26" i="18"/>
  <c r="L25" i="18"/>
  <c r="N25" i="18" s="1"/>
  <c r="L23" i="18"/>
  <c r="L22" i="18"/>
  <c r="N22" i="18" s="1"/>
  <c r="M21" i="18"/>
  <c r="L21" i="18"/>
  <c r="M20" i="18"/>
  <c r="L20" i="18"/>
  <c r="N20" i="18" s="1"/>
  <c r="L19" i="18"/>
  <c r="M18" i="18"/>
  <c r="L18" i="18"/>
  <c r="N18" i="18" s="1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M28" i="17"/>
  <c r="M26" i="17"/>
  <c r="M27" i="17"/>
  <c r="M25" i="17"/>
  <c r="M24" i="17"/>
  <c r="M23" i="17"/>
  <c r="M22" i="17"/>
  <c r="M21" i="17"/>
  <c r="M20" i="17"/>
  <c r="M19" i="17"/>
  <c r="M18" i="17"/>
  <c r="N18" i="20" l="1"/>
  <c r="N20" i="20"/>
  <c r="N19" i="18"/>
  <c r="N21" i="18"/>
  <c r="N27" i="18"/>
  <c r="N23" i="18"/>
  <c r="N24" i="18"/>
  <c r="N26" i="18"/>
  <c r="L32" i="17"/>
  <c r="L28" i="17"/>
  <c r="N28" i="17" s="1"/>
  <c r="L27" i="17"/>
  <c r="N27" i="17" s="1"/>
  <c r="L26" i="17"/>
  <c r="N26" i="17" s="1"/>
  <c r="L25" i="17"/>
  <c r="N25" i="17" s="1"/>
  <c r="L24" i="17"/>
  <c r="N24" i="17" s="1"/>
  <c r="L23" i="17"/>
  <c r="N23" i="17" s="1"/>
  <c r="L22" i="17"/>
  <c r="N22" i="17" s="1"/>
  <c r="L21" i="17"/>
  <c r="N21" i="17" s="1"/>
  <c r="L20" i="17"/>
  <c r="N20" i="17" s="1"/>
  <c r="L19" i="17"/>
  <c r="N19" i="17" s="1"/>
  <c r="L18" i="17"/>
  <c r="N18" i="17" s="1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N28" i="16" l="1"/>
  <c r="M28" i="16"/>
  <c r="L28" i="16"/>
  <c r="M27" i="16"/>
  <c r="M26" i="16"/>
  <c r="M25" i="16"/>
  <c r="M24" i="16"/>
  <c r="M23" i="16"/>
  <c r="M22" i="16"/>
  <c r="M21" i="16"/>
  <c r="M20" i="16"/>
  <c r="M19" i="16"/>
  <c r="M18" i="16"/>
  <c r="L29" i="16" l="1"/>
  <c r="L27" i="16"/>
  <c r="N27" i="16" s="1"/>
  <c r="L26" i="16"/>
  <c r="N26" i="16" s="1"/>
  <c r="L25" i="16"/>
  <c r="N25" i="16" s="1"/>
  <c r="L24" i="16"/>
  <c r="N24" i="16" s="1"/>
  <c r="L23" i="16"/>
  <c r="N23" i="16" s="1"/>
  <c r="L22" i="16"/>
  <c r="N22" i="16" s="1"/>
  <c r="L21" i="16"/>
  <c r="N21" i="16" s="1"/>
  <c r="L20" i="16"/>
  <c r="N20" i="16" s="1"/>
  <c r="L19" i="16"/>
  <c r="N19" i="16" s="1"/>
  <c r="L18" i="16" l="1"/>
  <c r="N18" i="16" s="1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</calcChain>
</file>

<file path=xl/sharedStrings.xml><?xml version="1.0" encoding="utf-8"?>
<sst xmlns="http://schemas.openxmlformats.org/spreadsheetml/2006/main" count="1239" uniqueCount="87">
  <si>
    <t xml:space="preserve"> </t>
  </si>
  <si>
    <t>Gerente</t>
  </si>
  <si>
    <t>Secretaria</t>
  </si>
  <si>
    <t>Auxiliar Financiera</t>
  </si>
  <si>
    <t>Auxiliar Administrativo</t>
  </si>
  <si>
    <t xml:space="preserve">Entrenador Nacional  </t>
  </si>
  <si>
    <t xml:space="preserve">Entrenador </t>
  </si>
  <si>
    <t>Auxiliar de Polígonos</t>
  </si>
  <si>
    <t>Carlos Rolando Castellanos Dardón</t>
  </si>
  <si>
    <t>Alexander Ottoniel Gutiérrez Galindo</t>
  </si>
  <si>
    <t>011</t>
  </si>
  <si>
    <t>Funcionarios, Servidores Públicos, Empleados y Asesores</t>
  </si>
  <si>
    <t>Evelyn Briseyda                                     Patzán Alay</t>
  </si>
  <si>
    <t>Erasmo Catarino                                     López Maldonado</t>
  </si>
  <si>
    <t>Raúl                                     Pineda Mijangos</t>
  </si>
  <si>
    <t>Toribio De Jesús                                     Del Cid Estrada</t>
  </si>
  <si>
    <t>Edgar David                                     Contreras Montoya</t>
  </si>
  <si>
    <t>Asesor en materia Administrativa y Financiera</t>
  </si>
  <si>
    <t>(Artículo 10, numeral 4 Ley de Acceso a la Información Pública)</t>
  </si>
  <si>
    <t>No se erogan gastos por Dietas</t>
  </si>
  <si>
    <t>Ad Honórem</t>
  </si>
  <si>
    <t>Presidente Comité Ejecutivo</t>
  </si>
  <si>
    <t>Tesorero Comité Ejecutivo</t>
  </si>
  <si>
    <t>Vocal I Comité Ejecutivo</t>
  </si>
  <si>
    <t>Vocal II Comité Ejecutivo</t>
  </si>
  <si>
    <t xml:space="preserve">No. </t>
  </si>
  <si>
    <t>RENGLÓN</t>
  </si>
  <si>
    <t>Empleado/
Servidor Público</t>
  </si>
  <si>
    <t>CARGO/ SERVICIOS PRESTADOS</t>
  </si>
  <si>
    <t>DEPENDENCIA</t>
  </si>
  <si>
    <t>BONIFICACIÓN PROFESIONAL</t>
  </si>
  <si>
    <t>HONORARIOS</t>
  </si>
  <si>
    <t xml:space="preserve">TOTAL 
INGRESO
</t>
  </si>
  <si>
    <t>TOTAL
DESCUENTOS</t>
  </si>
  <si>
    <t>LÍQUIDO</t>
  </si>
  <si>
    <t>OTRAS REMUNERACIONES
ECONÓMICAS</t>
  </si>
  <si>
    <t>MONTO 
VIÁTICOS</t>
  </si>
  <si>
    <t>NOMBRES 
Y APELLIDOS</t>
  </si>
  <si>
    <t>ASOTAC</t>
  </si>
  <si>
    <t>SUELDO
BASE</t>
  </si>
  <si>
    <t>HORAS
EXTRAS</t>
  </si>
  <si>
    <t>BONO PRODUCTIVIDAD</t>
  </si>
  <si>
    <t>BONO
MENSUAL</t>
  </si>
  <si>
    <t>GASTOS DE BOLSILLO</t>
  </si>
  <si>
    <t>Jorge Augusto                                 Contreras Roldán</t>
  </si>
  <si>
    <t>Marco Antonio                          Gómez Estrada</t>
  </si>
  <si>
    <t>Pedro Manuel                      Coronado Fernández</t>
  </si>
  <si>
    <t>Secretario Comité Ejecutivo</t>
  </si>
  <si>
    <t>Coordinador Técnico</t>
  </si>
  <si>
    <t>Diana Beatriz Amelia Calderon Vasquez</t>
  </si>
  <si>
    <t>Elmer Arturo Ventura</t>
  </si>
  <si>
    <t>Coordinador Administrativo Financiero</t>
  </si>
  <si>
    <t>Juan Fernando Vega Silva</t>
  </si>
  <si>
    <t>Jenifer Eunice Queche Velasquez</t>
  </si>
  <si>
    <t>Información correspondientes a Enero 2022</t>
  </si>
  <si>
    <t>Vigente Período 2022</t>
  </si>
  <si>
    <t>Ulysses Rober Dent Davila</t>
  </si>
  <si>
    <t>Edwin Ernesto Paredes Soria</t>
  </si>
  <si>
    <t>Evelicio Hernandez Gonzalez</t>
  </si>
  <si>
    <t>Encargado de Poligonos</t>
  </si>
  <si>
    <t>Información correspondientes a Febrero 2022</t>
  </si>
  <si>
    <t>Información correspondientes a Marzo 2022</t>
  </si>
  <si>
    <t>Juan Luis Rodriguez Gonzalez</t>
  </si>
  <si>
    <t>Asesor Juridico</t>
  </si>
  <si>
    <t>Pedro Antonio Zayas Fernandez</t>
  </si>
  <si>
    <t>Entrenador</t>
  </si>
  <si>
    <t>Erwin Osmundo Gonzalez Rosales</t>
  </si>
  <si>
    <t>Fisioterapista</t>
  </si>
  <si>
    <t>Carmen Lucia Barraza Azmitia</t>
  </si>
  <si>
    <t>Psicologa</t>
  </si>
  <si>
    <t>Pedro Martin Fariza</t>
  </si>
  <si>
    <t>Entrenador Trap</t>
  </si>
  <si>
    <t>Información correspondientes a Abril 2022</t>
  </si>
  <si>
    <t>Información correspondientes a Mayo 2022</t>
  </si>
  <si>
    <t>James Todd Graves</t>
  </si>
  <si>
    <t>Entrenador Skeet</t>
  </si>
  <si>
    <t>Información correspondientes a Junio 2022</t>
  </si>
  <si>
    <t>Información correspondientes a Julio 2022</t>
  </si>
  <si>
    <t>Información correspondientes a Agosto 2022</t>
  </si>
  <si>
    <t>Carlos Arturo Padilla Coronado</t>
  </si>
  <si>
    <t>Entrenador Nacional de Skeet</t>
  </si>
  <si>
    <t>Mensajero</t>
  </si>
  <si>
    <t>Información correspondientes a Septiembre 2022</t>
  </si>
  <si>
    <t xml:space="preserve">Entrenador  </t>
  </si>
  <si>
    <t>Información correspondientes a Octubre 2022</t>
  </si>
  <si>
    <t>Información correspondientes a Noviembre 2022</t>
  </si>
  <si>
    <t>Información correspondientes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</si>
</sst>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Continuous"/>
    </xf>
    <xf numFmtId="41" fontId="5" fillId="0" borderId="0" xfId="1" applyNumberFormat="1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/>
    </xf>
    <xf numFmtId="43" fontId="0" fillId="0" borderId="1" xfId="1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1" fillId="0" borderId="0" xfId="1" quotePrefix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horizontal="centerContinuous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CECEC"/>
      <color rgb="FFE3E2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2" y="0"/>
          <a:ext cx="10107704" cy="12886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32438-7130-43D5-8DA4-F90034B1A4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FCDB1C-C688-4BA0-A561-5F9A62B2C5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36DF1D-7522-4C3E-AF96-0E290A20C6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5A8ED5-1D30-405B-B876-BAD00FDBC4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5D3D05-DB24-4F11-AF56-F28449063A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860DB-B14D-4279-8610-5F7B90332F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0AD8CB-5D43-4AE1-9034-1A42CD65C40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DC3E12-7F5A-4A18-8CAD-E44BF2D705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FA494B-8591-4156-A483-243C970374A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B7996B-DD68-4BC7-8176-CFCF0AD2F4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showGridLines="0" topLeftCell="A16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54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362.25+289.8+75</f>
        <v>727.05</v>
      </c>
      <c r="N18" s="15">
        <f t="shared" ref="N18:N28" si="1">+L18-M18</f>
        <v>11647.95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0</v>
      </c>
      <c r="H19" s="15">
        <v>1550</v>
      </c>
      <c r="I19" s="15">
        <v>0</v>
      </c>
      <c r="J19" s="15">
        <v>375</v>
      </c>
      <c r="K19" s="15"/>
      <c r="L19" s="15">
        <f t="shared" ref="L19:L29" si="2">SUM(F19:K19)</f>
        <v>12891</v>
      </c>
      <c r="M19" s="15">
        <f>529.66+425.98+100</f>
        <v>1055.6399999999999</v>
      </c>
      <c r="N19" s="15">
        <f t="shared" si="1"/>
        <v>11835.36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362.25+126+258.55+75</f>
        <v>821.8</v>
      </c>
      <c r="N20" s="15">
        <f t="shared" si="1"/>
        <v>8553.2000000000007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0</v>
      </c>
      <c r="H22" s="15">
        <v>1550</v>
      </c>
      <c r="I22" s="15">
        <v>0</v>
      </c>
      <c r="J22" s="15">
        <v>0</v>
      </c>
      <c r="K22" s="15"/>
      <c r="L22" s="15">
        <f t="shared" si="2"/>
        <v>4570</v>
      </c>
      <c r="M22" s="15">
        <f>145.87+61.42+29.12+50</f>
        <v>286.41000000000003</v>
      </c>
      <c r="N22" s="15">
        <f>+L22-M22</f>
        <v>4283.59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>
        <v>0</v>
      </c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f>170.55+53.44+50</f>
        <v>273.99</v>
      </c>
      <c r="N23" s="15">
        <f t="shared" si="1"/>
        <v>4807.01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0</v>
      </c>
      <c r="H24" s="15">
        <v>1800</v>
      </c>
      <c r="I24" s="15">
        <v>500</v>
      </c>
      <c r="J24" s="15">
        <v>0</v>
      </c>
      <c r="K24" s="15"/>
      <c r="L24" s="15">
        <f t="shared" si="2"/>
        <v>7997</v>
      </c>
      <c r="M24" s="15">
        <f>275.17+198.18</f>
        <v>473.35</v>
      </c>
      <c r="N24" s="15">
        <f t="shared" si="1"/>
        <v>7523.65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83</v>
      </c>
      <c r="E25" s="2" t="s">
        <v>38</v>
      </c>
      <c r="F25" s="15">
        <v>7392</v>
      </c>
      <c r="G25" s="15">
        <v>0</v>
      </c>
      <c r="H25" s="15">
        <v>2300</v>
      </c>
      <c r="I25" s="15">
        <v>500</v>
      </c>
      <c r="J25" s="15">
        <v>0</v>
      </c>
      <c r="K25" s="15"/>
      <c r="L25" s="15">
        <f t="shared" si="2"/>
        <v>10192</v>
      </c>
      <c r="M25" s="15">
        <f>357.03+303.83+75</f>
        <v>735.8599999999999</v>
      </c>
      <c r="N25" s="15">
        <f t="shared" si="1"/>
        <v>9456.14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6768</v>
      </c>
      <c r="G26" s="15">
        <v>0</v>
      </c>
      <c r="H26" s="15">
        <v>1550</v>
      </c>
      <c r="I26" s="15">
        <v>0</v>
      </c>
      <c r="J26" s="15">
        <v>0</v>
      </c>
      <c r="K26" s="15"/>
      <c r="L26" s="15">
        <f t="shared" si="2"/>
        <v>8318</v>
      </c>
      <c r="M26" s="15">
        <f>326.89+207.47+75</f>
        <v>609.36</v>
      </c>
      <c r="N26" s="15">
        <f t="shared" si="1"/>
        <v>7708.64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0</v>
      </c>
      <c r="H27" s="15">
        <v>1550</v>
      </c>
      <c r="I27" s="15">
        <v>0</v>
      </c>
      <c r="J27" s="15">
        <v>0</v>
      </c>
      <c r="K27" s="15"/>
      <c r="L27" s="15">
        <f t="shared" si="2"/>
        <v>4468.7</v>
      </c>
      <c r="M27" s="15">
        <f>140.97+24.3+50</f>
        <v>215.27</v>
      </c>
      <c r="N27" s="15">
        <f t="shared" si="1"/>
        <v>4253.4299999999994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/>
      <c r="H28" s="15">
        <v>1449</v>
      </c>
      <c r="I28" s="15"/>
      <c r="J28" s="15"/>
      <c r="K28" s="15"/>
      <c r="L28" s="15">
        <f t="shared" si="2"/>
        <v>4367.7</v>
      </c>
      <c r="M28" s="15">
        <f>140.97+19.25+50</f>
        <v>210.22</v>
      </c>
      <c r="N28" s="15">
        <f t="shared" si="1"/>
        <v>4157.4799999999996</v>
      </c>
      <c r="O28" s="15"/>
      <c r="P28" s="15"/>
    </row>
    <row r="29" spans="1:16" ht="30" customHeight="1" x14ac:dyDescent="0.25">
      <c r="A29" s="1">
        <v>16</v>
      </c>
      <c r="B29" s="2">
        <v>184</v>
      </c>
      <c r="C29" s="8" t="s">
        <v>16</v>
      </c>
      <c r="D29" s="8" t="s">
        <v>17</v>
      </c>
      <c r="E29" s="2" t="s">
        <v>38</v>
      </c>
      <c r="F29" s="15" t="s">
        <v>0</v>
      </c>
      <c r="G29" s="15"/>
      <c r="H29" s="15"/>
      <c r="I29" s="15"/>
      <c r="J29" s="15"/>
      <c r="K29" s="15">
        <v>0</v>
      </c>
      <c r="L29" s="15">
        <f t="shared" si="2"/>
        <v>0</v>
      </c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4CAC-6F99-4CF0-9373-036ECA884321}">
  <dimension ref="A1:P40"/>
  <sheetViews>
    <sheetView showGridLines="0" zoomScale="85" zoomScaleNormal="85" workbookViewId="0">
      <selection activeCell="M28" sqref="M2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84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/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12891</v>
      </c>
      <c r="M19" s="15">
        <f>529.66+460.61</f>
        <v>990.27</v>
      </c>
      <c r="N19" s="15">
        <f t="shared" si="1"/>
        <v>11900.73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/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369.04+126+258.55</f>
        <v>753.59</v>
      </c>
      <c r="N20" s="15">
        <f t="shared" si="1"/>
        <v>8621.41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/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/>
      <c r="H22" s="15">
        <v>1550</v>
      </c>
      <c r="I22" s="15">
        <v>0</v>
      </c>
      <c r="J22" s="15">
        <v>0</v>
      </c>
      <c r="K22" s="15"/>
      <c r="L22" s="15">
        <f t="shared" si="2"/>
        <v>4570</v>
      </c>
      <c r="M22" s="15">
        <f>145.87+61.42+43.75</f>
        <v>251.04000000000002</v>
      </c>
      <c r="N22" s="15">
        <f>+L22-M22</f>
        <v>4318.96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284.88</v>
      </c>
      <c r="H24" s="15">
        <v>1800</v>
      </c>
      <c r="I24" s="15">
        <v>500</v>
      </c>
      <c r="J24" s="15"/>
      <c r="K24" s="15"/>
      <c r="L24" s="15">
        <f>SUM(F24:K24)</f>
        <v>8281.880000000001</v>
      </c>
      <c r="M24" s="15">
        <f>288.92+242.74</f>
        <v>531.66000000000008</v>
      </c>
      <c r="N24" s="15">
        <f t="shared" si="1"/>
        <v>7750.2200000000012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</v>
      </c>
      <c r="E25" s="2" t="s">
        <v>38</v>
      </c>
      <c r="F25" s="15">
        <v>7392</v>
      </c>
      <c r="G25" s="15"/>
      <c r="H25" s="15">
        <v>2300</v>
      </c>
      <c r="I25" s="15">
        <v>500</v>
      </c>
      <c r="J25" s="15"/>
      <c r="K25" s="15"/>
      <c r="L25" s="15">
        <f t="shared" si="2"/>
        <v>10192</v>
      </c>
      <c r="M25" s="15">
        <f>357.03+332.29</f>
        <v>689.31999999999994</v>
      </c>
      <c r="N25" s="15">
        <f t="shared" si="1"/>
        <v>9502.68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79</v>
      </c>
      <c r="D26" s="1" t="s">
        <v>80</v>
      </c>
      <c r="E26" s="2" t="s">
        <v>38</v>
      </c>
      <c r="F26" s="15">
        <v>6750</v>
      </c>
      <c r="G26" s="15"/>
      <c r="H26" s="15">
        <v>250</v>
      </c>
      <c r="I26" s="15">
        <v>0</v>
      </c>
      <c r="J26" s="15"/>
      <c r="K26" s="15"/>
      <c r="L26" s="15">
        <f t="shared" si="2"/>
        <v>7000</v>
      </c>
      <c r="M26" s="15">
        <v>0</v>
      </c>
      <c r="N26" s="15">
        <f t="shared" si="1"/>
        <v>7000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/>
      <c r="H27" s="15">
        <v>1550</v>
      </c>
      <c r="I27" s="15">
        <v>0</v>
      </c>
      <c r="J27" s="15"/>
      <c r="K27" s="15"/>
      <c r="L27" s="15">
        <f t="shared" si="2"/>
        <v>4468.7</v>
      </c>
      <c r="M27" s="15">
        <f>140.97+35.44</f>
        <v>176.41</v>
      </c>
      <c r="N27" s="15">
        <f t="shared" si="1"/>
        <v>4292.29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/>
      <c r="H28" s="15">
        <v>1449</v>
      </c>
      <c r="I28" s="15"/>
      <c r="J28" s="15"/>
      <c r="K28" s="15"/>
      <c r="L28" s="15">
        <f t="shared" si="2"/>
        <v>4367.7</v>
      </c>
      <c r="M28" s="15">
        <f>140.97+28.44</f>
        <v>169.41</v>
      </c>
      <c r="N28" s="15">
        <f t="shared" si="1"/>
        <v>4198.29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FB85-E76A-4A0E-BAAA-811A2498D4E5}">
  <dimension ref="A1:P40"/>
  <sheetViews>
    <sheetView showGridLines="0" zoomScale="85" zoomScaleNormal="85" workbookViewId="0">
      <selection activeCell="M24" sqref="M24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85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/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12891</v>
      </c>
      <c r="M19" s="15">
        <f>529.66+460.61</f>
        <v>990.27</v>
      </c>
      <c r="N19" s="15">
        <f t="shared" si="1"/>
        <v>11900.73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/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369.04+126+258.55</f>
        <v>753.59</v>
      </c>
      <c r="N20" s="15">
        <f t="shared" si="1"/>
        <v>8621.41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/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/>
      <c r="H22" s="15">
        <v>1550</v>
      </c>
      <c r="I22" s="15">
        <v>0</v>
      </c>
      <c r="J22" s="15">
        <v>0</v>
      </c>
      <c r="K22" s="15"/>
      <c r="L22" s="15">
        <f t="shared" si="2"/>
        <v>4570</v>
      </c>
      <c r="M22" s="15">
        <f>145.87+61.42+43.75</f>
        <v>251.04000000000002</v>
      </c>
      <c r="N22" s="15">
        <f>+L22-M22</f>
        <v>4318.96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/>
      <c r="H24" s="15">
        <v>1800</v>
      </c>
      <c r="I24" s="15">
        <v>500</v>
      </c>
      <c r="J24" s="15"/>
      <c r="K24" s="15"/>
      <c r="L24" s="15">
        <f>SUM(F24:K24)</f>
        <v>7997</v>
      </c>
      <c r="M24" s="15">
        <f>275.17+242.74</f>
        <v>517.91000000000008</v>
      </c>
      <c r="N24" s="15">
        <f t="shared" si="1"/>
        <v>7479.09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</v>
      </c>
      <c r="E25" s="2" t="s">
        <v>38</v>
      </c>
      <c r="F25" s="15">
        <v>7392</v>
      </c>
      <c r="G25" s="15"/>
      <c r="H25" s="15">
        <v>2300</v>
      </c>
      <c r="I25" s="15">
        <v>500</v>
      </c>
      <c r="J25" s="15"/>
      <c r="K25" s="15"/>
      <c r="L25" s="15">
        <f t="shared" si="2"/>
        <v>10192</v>
      </c>
      <c r="M25" s="15">
        <f>357.03+332.29</f>
        <v>689.31999999999994</v>
      </c>
      <c r="N25" s="15">
        <f t="shared" si="1"/>
        <v>9502.68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79</v>
      </c>
      <c r="D26" s="1" t="s">
        <v>80</v>
      </c>
      <c r="E26" s="2" t="s">
        <v>38</v>
      </c>
      <c r="F26" s="15">
        <v>6750</v>
      </c>
      <c r="G26" s="15"/>
      <c r="H26" s="15">
        <v>250</v>
      </c>
      <c r="I26" s="15">
        <v>0</v>
      </c>
      <c r="J26" s="15"/>
      <c r="K26" s="15"/>
      <c r="L26" s="15">
        <f t="shared" si="2"/>
        <v>7000</v>
      </c>
      <c r="M26" s="15">
        <v>0</v>
      </c>
      <c r="N26" s="15">
        <f t="shared" si="1"/>
        <v>7000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/>
      <c r="H27" s="15">
        <v>1550</v>
      </c>
      <c r="I27" s="15">
        <v>0</v>
      </c>
      <c r="J27" s="15"/>
      <c r="K27" s="15"/>
      <c r="L27" s="15">
        <f t="shared" si="2"/>
        <v>4468.7</v>
      </c>
      <c r="M27" s="15">
        <f>140.97+35.44</f>
        <v>176.41</v>
      </c>
      <c r="N27" s="15">
        <f t="shared" si="1"/>
        <v>4292.29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/>
      <c r="H28" s="15">
        <v>1449</v>
      </c>
      <c r="I28" s="15"/>
      <c r="J28" s="15"/>
      <c r="K28" s="15"/>
      <c r="L28" s="15">
        <f t="shared" si="2"/>
        <v>4367.7</v>
      </c>
      <c r="M28" s="15">
        <f>140.97+28.44</f>
        <v>169.41</v>
      </c>
      <c r="N28" s="15">
        <f t="shared" si="1"/>
        <v>4198.29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7850-9307-4811-8E1B-A0C14BEC9F78}">
  <dimension ref="A1:P40"/>
  <sheetViews>
    <sheetView showGridLines="0" tabSelected="1" zoomScale="85" zoomScaleNormal="85" workbookViewId="0">
      <selection activeCell="G24" sqref="G24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86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308.43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13199.43</v>
      </c>
      <c r="M19" s="15">
        <f>544.55+499.19</f>
        <v>1043.74</v>
      </c>
      <c r="N19" s="15">
        <f t="shared" si="1"/>
        <v>12155.69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/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369.04+126+258.55</f>
        <v>753.59</v>
      </c>
      <c r="N20" s="15">
        <f t="shared" si="1"/>
        <v>8621.41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/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84.96</v>
      </c>
      <c r="H22" s="15">
        <v>1550</v>
      </c>
      <c r="I22" s="15">
        <v>0</v>
      </c>
      <c r="J22" s="15">
        <v>0</v>
      </c>
      <c r="K22" s="15"/>
      <c r="L22" s="15">
        <f t="shared" si="2"/>
        <v>4654.96</v>
      </c>
      <c r="M22" s="15">
        <f>149.97+61.42+72.03</f>
        <v>283.41999999999996</v>
      </c>
      <c r="N22" s="15">
        <f>+L22-M22</f>
        <v>4371.54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>
        <v>110.35</v>
      </c>
      <c r="H23" s="15">
        <v>1550</v>
      </c>
      <c r="I23" s="15">
        <v>0</v>
      </c>
      <c r="J23" s="15">
        <v>0</v>
      </c>
      <c r="K23" s="15"/>
      <c r="L23" s="15">
        <f t="shared" si="2"/>
        <v>5191.3500000000004</v>
      </c>
      <c r="M23" s="15">
        <f>175.88+58.68</f>
        <v>234.56</v>
      </c>
      <c r="N23" s="15">
        <f t="shared" si="1"/>
        <v>4956.79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/>
      <c r="H24" s="15">
        <v>1800</v>
      </c>
      <c r="I24" s="15">
        <v>500</v>
      </c>
      <c r="J24" s="15"/>
      <c r="K24" s="15"/>
      <c r="L24" s="15">
        <f>SUM(F24:K24)</f>
        <v>7997</v>
      </c>
      <c r="M24" s="15">
        <f>275.17+242.74</f>
        <v>517.91000000000008</v>
      </c>
      <c r="N24" s="15">
        <f t="shared" si="1"/>
        <v>7479.09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</v>
      </c>
      <c r="E25" s="2" t="s">
        <v>38</v>
      </c>
      <c r="F25" s="15">
        <v>7392</v>
      </c>
      <c r="G25" s="15"/>
      <c r="H25" s="15">
        <v>2300</v>
      </c>
      <c r="I25" s="15">
        <v>500</v>
      </c>
      <c r="J25" s="15"/>
      <c r="K25" s="15"/>
      <c r="L25" s="15">
        <f t="shared" si="2"/>
        <v>10192</v>
      </c>
      <c r="M25" s="15">
        <f>357.03+332.29</f>
        <v>689.31999999999994</v>
      </c>
      <c r="N25" s="15">
        <f t="shared" si="1"/>
        <v>9502.68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79</v>
      </c>
      <c r="D26" s="1" t="s">
        <v>80</v>
      </c>
      <c r="E26" s="2" t="s">
        <v>38</v>
      </c>
      <c r="F26" s="15">
        <v>6750</v>
      </c>
      <c r="G26" s="15"/>
      <c r="H26" s="15">
        <v>250</v>
      </c>
      <c r="I26" s="15">
        <v>0</v>
      </c>
      <c r="J26" s="15"/>
      <c r="K26" s="15"/>
      <c r="L26" s="15">
        <f t="shared" si="2"/>
        <v>7000</v>
      </c>
      <c r="M26" s="15">
        <v>0</v>
      </c>
      <c r="N26" s="15">
        <f t="shared" si="1"/>
        <v>7000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/>
      <c r="H27" s="15">
        <v>1550</v>
      </c>
      <c r="I27" s="15">
        <v>0</v>
      </c>
      <c r="J27" s="15"/>
      <c r="K27" s="15"/>
      <c r="L27" s="15">
        <f t="shared" si="2"/>
        <v>4468.7</v>
      </c>
      <c r="M27" s="15">
        <f>140.97+35.44</f>
        <v>176.41</v>
      </c>
      <c r="N27" s="15">
        <f t="shared" si="1"/>
        <v>4292.29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/>
      <c r="H28" s="15">
        <v>1449</v>
      </c>
      <c r="I28" s="15"/>
      <c r="J28" s="15"/>
      <c r="K28" s="15"/>
      <c r="L28" s="15">
        <f t="shared" si="2"/>
        <v>4367.7</v>
      </c>
      <c r="M28" s="15">
        <f>140.97+28.44</f>
        <v>169.41</v>
      </c>
      <c r="N28" s="15">
        <f t="shared" si="1"/>
        <v>4198.29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showGridLines="0" topLeftCell="A21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60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913.8</v>
      </c>
      <c r="H19" s="15">
        <v>1550</v>
      </c>
      <c r="I19" s="15">
        <v>0</v>
      </c>
      <c r="J19" s="15">
        <v>375</v>
      </c>
      <c r="K19" s="15"/>
      <c r="L19" s="15">
        <f t="shared" ref="L19:L32" si="2">SUM(F19:K19)</f>
        <v>13804.8</v>
      </c>
      <c r="M19" s="15">
        <f>573.79+425.98</f>
        <v>999.77</v>
      </c>
      <c r="N19" s="15">
        <f t="shared" si="1"/>
        <v>12805.029999999999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251.7</v>
      </c>
      <c r="H22" s="15">
        <v>1550</v>
      </c>
      <c r="I22" s="15">
        <v>0</v>
      </c>
      <c r="J22" s="15">
        <v>0</v>
      </c>
      <c r="K22" s="15"/>
      <c r="L22" s="15">
        <f t="shared" si="2"/>
        <v>4821.7</v>
      </c>
      <c r="M22" s="15">
        <f>251.7+61.42+29.12</f>
        <v>342.24</v>
      </c>
      <c r="N22" s="15">
        <f>+L22-M22</f>
        <v>4479.46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>
        <v>0</v>
      </c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f>170.55+53.44</f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0</v>
      </c>
      <c r="H24" s="15">
        <v>1800</v>
      </c>
      <c r="I24" s="15">
        <v>500</v>
      </c>
      <c r="J24" s="15"/>
      <c r="K24" s="15"/>
      <c r="L24" s="15">
        <f t="shared" si="2"/>
        <v>7997</v>
      </c>
      <c r="M24" s="15">
        <f>334.22+198.18+100</f>
        <v>632.40000000000009</v>
      </c>
      <c r="N24" s="15">
        <f t="shared" si="1"/>
        <v>7364.6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</v>
      </c>
      <c r="E25" s="2" t="s">
        <v>38</v>
      </c>
      <c r="F25" s="15">
        <v>7392</v>
      </c>
      <c r="G25" s="15">
        <v>0</v>
      </c>
      <c r="H25" s="15">
        <v>2300</v>
      </c>
      <c r="I25" s="15">
        <v>500</v>
      </c>
      <c r="J25" s="15"/>
      <c r="K25" s="15"/>
      <c r="L25" s="15">
        <f t="shared" si="2"/>
        <v>10192</v>
      </c>
      <c r="M25" s="15">
        <f>386.79+303.83+75</f>
        <v>765.62</v>
      </c>
      <c r="N25" s="15">
        <f t="shared" si="1"/>
        <v>9426.3799999999992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6768</v>
      </c>
      <c r="G26" s="15">
        <v>0</v>
      </c>
      <c r="H26" s="15">
        <v>1550</v>
      </c>
      <c r="I26" s="15">
        <v>0</v>
      </c>
      <c r="J26" s="15"/>
      <c r="K26" s="15"/>
      <c r="L26" s="15">
        <f t="shared" si="2"/>
        <v>8318</v>
      </c>
      <c r="M26" s="15">
        <f>351.41+207.47</f>
        <v>558.88</v>
      </c>
      <c r="N26" s="15">
        <f t="shared" si="1"/>
        <v>7759.12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0</v>
      </c>
      <c r="H27" s="15">
        <v>1550</v>
      </c>
      <c r="I27" s="15">
        <v>0</v>
      </c>
      <c r="J27" s="15"/>
      <c r="K27" s="15"/>
      <c r="L27" s="15">
        <f t="shared" si="2"/>
        <v>4468.7</v>
      </c>
      <c r="M27" s="15">
        <f>152.13+24.3</f>
        <v>176.43</v>
      </c>
      <c r="N27" s="15">
        <f t="shared" si="1"/>
        <v>4292.2699999999995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/>
      <c r="H28" s="15">
        <v>1449</v>
      </c>
      <c r="I28" s="15"/>
      <c r="J28" s="15"/>
      <c r="K28" s="15"/>
      <c r="L28" s="15">
        <f t="shared" si="2"/>
        <v>4367.7</v>
      </c>
      <c r="M28" s="15">
        <f>152.72+19.25</f>
        <v>171.97</v>
      </c>
      <c r="N28" s="15">
        <f t="shared" si="1"/>
        <v>4195.7299999999996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187</v>
      </c>
      <c r="C30" s="8" t="s">
        <v>64</v>
      </c>
      <c r="D30" s="1" t="s">
        <v>65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 t="s">
        <v>0</v>
      </c>
      <c r="G32" s="15"/>
      <c r="H32" s="15"/>
      <c r="I32" s="15"/>
      <c r="J32" s="15"/>
      <c r="K32" s="15">
        <v>0</v>
      </c>
      <c r="L32" s="15">
        <f t="shared" si="2"/>
        <v>0</v>
      </c>
      <c r="M32" s="15"/>
      <c r="N32" s="15"/>
      <c r="O32" s="15"/>
      <c r="P32" s="15"/>
    </row>
    <row r="33" spans="1:16" ht="28.5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18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6" x14ac:dyDescent="0.25">
      <c r="B38" s="5"/>
      <c r="C38" s="7" t="s">
        <v>55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2" orientation="landscape" r:id="rId1"/>
  <ignoredErrors>
    <ignoredError sqref="B18:B2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74A5-1AC8-4564-890F-544F0EF2E403}">
  <dimension ref="A1:P40"/>
  <sheetViews>
    <sheetView showGridLines="0" topLeftCell="A23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61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68.540000000000006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12959.54</v>
      </c>
      <c r="M19" s="15">
        <f>532.97+425.98</f>
        <v>958.95</v>
      </c>
      <c r="N19" s="15">
        <f t="shared" si="1"/>
        <v>12000.59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371.26</v>
      </c>
      <c r="H22" s="15">
        <v>1550</v>
      </c>
      <c r="I22" s="15">
        <v>0</v>
      </c>
      <c r="J22" s="15">
        <v>0</v>
      </c>
      <c r="K22" s="15"/>
      <c r="L22" s="15">
        <f t="shared" si="2"/>
        <v>4941.26</v>
      </c>
      <c r="M22" s="15">
        <f>163.8+61.42+29.12</f>
        <v>254.34000000000003</v>
      </c>
      <c r="N22" s="15">
        <f>+L22-M22</f>
        <v>4686.92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>
        <v>33.11</v>
      </c>
      <c r="H23" s="15">
        <v>1550</v>
      </c>
      <c r="I23" s="15">
        <v>0</v>
      </c>
      <c r="J23" s="15">
        <v>0</v>
      </c>
      <c r="K23" s="15"/>
      <c r="L23" s="15">
        <f t="shared" si="2"/>
        <v>5114.1100000000006</v>
      </c>
      <c r="M23" s="15">
        <f>172.15+53.44</f>
        <v>225.59</v>
      </c>
      <c r="N23" s="15">
        <f t="shared" si="1"/>
        <v>4888.5200000000004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178.05</v>
      </c>
      <c r="H24" s="15">
        <v>1800</v>
      </c>
      <c r="I24" s="15">
        <v>500</v>
      </c>
      <c r="J24" s="15"/>
      <c r="K24" s="15"/>
      <c r="L24" s="15">
        <f>SUM(F24:K24)</f>
        <v>8175.05</v>
      </c>
      <c r="M24" s="15">
        <f>283.76+198.18+50</f>
        <v>531.94000000000005</v>
      </c>
      <c r="N24" s="15">
        <f t="shared" si="1"/>
        <v>7643.1100000000006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65</v>
      </c>
      <c r="E25" s="2" t="s">
        <v>38</v>
      </c>
      <c r="F25" s="15">
        <v>7392</v>
      </c>
      <c r="G25" s="15">
        <v>862.4</v>
      </c>
      <c r="H25" s="15">
        <v>2300</v>
      </c>
      <c r="I25" s="15">
        <v>500</v>
      </c>
      <c r="J25" s="15"/>
      <c r="K25" s="15"/>
      <c r="L25" s="15">
        <f t="shared" si="2"/>
        <v>11054.4</v>
      </c>
      <c r="M25" s="15">
        <f>398.69+303.83</f>
        <v>702.52</v>
      </c>
      <c r="N25" s="15">
        <f t="shared" si="1"/>
        <v>10351.879999999999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6768</v>
      </c>
      <c r="G26" s="15">
        <v>0</v>
      </c>
      <c r="H26" s="15">
        <v>1550</v>
      </c>
      <c r="I26" s="15">
        <v>0</v>
      </c>
      <c r="J26" s="15"/>
      <c r="K26" s="15"/>
      <c r="L26" s="15">
        <f t="shared" si="2"/>
        <v>8318</v>
      </c>
      <c r="M26" s="15">
        <f>351.41+207.47</f>
        <v>558.88</v>
      </c>
      <c r="N26" s="15">
        <f t="shared" si="1"/>
        <v>7759.12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0</v>
      </c>
      <c r="H27" s="15">
        <v>1550</v>
      </c>
      <c r="I27" s="15">
        <v>0</v>
      </c>
      <c r="J27" s="15"/>
      <c r="K27" s="15"/>
      <c r="L27" s="15">
        <f t="shared" si="2"/>
        <v>4468.7</v>
      </c>
      <c r="M27" s="15">
        <f>152.13+24.3</f>
        <v>176.43</v>
      </c>
      <c r="N27" s="15">
        <f t="shared" si="1"/>
        <v>4292.2699999999995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340.48</v>
      </c>
      <c r="H28" s="15">
        <v>1449</v>
      </c>
      <c r="I28" s="15"/>
      <c r="J28" s="15"/>
      <c r="K28" s="15"/>
      <c r="L28" s="15">
        <f t="shared" si="2"/>
        <v>4708.18</v>
      </c>
      <c r="M28" s="15">
        <f>157.42+19.25</f>
        <v>176.67</v>
      </c>
      <c r="N28" s="15">
        <f t="shared" si="1"/>
        <v>4531.51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187</v>
      </c>
      <c r="C31" s="8" t="s">
        <v>64</v>
      </c>
      <c r="D31" s="1" t="s">
        <v>65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66</v>
      </c>
      <c r="D32" s="1" t="s">
        <v>67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29</v>
      </c>
      <c r="C33" s="8" t="s">
        <v>68</v>
      </c>
      <c r="D33" s="1" t="s">
        <v>69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70</v>
      </c>
      <c r="D34" s="8" t="s">
        <v>71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3D2E-EFD2-4137-A799-4B89E869F069}">
  <dimension ref="A1:P40"/>
  <sheetViews>
    <sheetView showGridLines="0" topLeftCell="A23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72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548.28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13439.28</v>
      </c>
      <c r="M19" s="15">
        <v>982.12</v>
      </c>
      <c r="N19" s="15">
        <f t="shared" si="1"/>
        <v>12457.16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151.02000000000001</v>
      </c>
      <c r="H22" s="15">
        <v>1550</v>
      </c>
      <c r="I22" s="15">
        <v>0</v>
      </c>
      <c r="J22" s="15">
        <v>0</v>
      </c>
      <c r="K22" s="15"/>
      <c r="L22" s="15">
        <f t="shared" si="2"/>
        <v>4721.0200000000004</v>
      </c>
      <c r="M22" s="15">
        <v>243.7</v>
      </c>
      <c r="N22" s="15">
        <f>+L22-M22</f>
        <v>4477.3200000000006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284.88</v>
      </c>
      <c r="H24" s="15">
        <v>1800</v>
      </c>
      <c r="I24" s="15">
        <v>500</v>
      </c>
      <c r="J24" s="15"/>
      <c r="K24" s="15"/>
      <c r="L24" s="15">
        <f>SUM(F24:K24)</f>
        <v>8281.880000000001</v>
      </c>
      <c r="M24" s="15">
        <f>283.76+198.18+50</f>
        <v>531.94000000000005</v>
      </c>
      <c r="N24" s="15">
        <f t="shared" si="1"/>
        <v>7749.9400000000005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65</v>
      </c>
      <c r="E25" s="2" t="s">
        <v>38</v>
      </c>
      <c r="F25" s="15">
        <v>7392</v>
      </c>
      <c r="G25" s="15">
        <v>369.6</v>
      </c>
      <c r="H25" s="15">
        <v>2300</v>
      </c>
      <c r="I25" s="15">
        <v>500</v>
      </c>
      <c r="J25" s="15"/>
      <c r="K25" s="15"/>
      <c r="L25" s="15">
        <f t="shared" si="2"/>
        <v>10561.6</v>
      </c>
      <c r="M25" s="15">
        <v>678.72</v>
      </c>
      <c r="N25" s="15">
        <f t="shared" si="1"/>
        <v>9882.880000000001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6768</v>
      </c>
      <c r="G26" s="15">
        <v>282</v>
      </c>
      <c r="H26" s="15">
        <v>1550</v>
      </c>
      <c r="I26" s="15">
        <v>0</v>
      </c>
      <c r="J26" s="15"/>
      <c r="K26" s="15"/>
      <c r="L26" s="15">
        <f t="shared" si="2"/>
        <v>8600</v>
      </c>
      <c r="M26" s="15">
        <v>547.99</v>
      </c>
      <c r="N26" s="15">
        <f t="shared" si="1"/>
        <v>8052.01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145.91999999999999</v>
      </c>
      <c r="H27" s="15">
        <v>1550</v>
      </c>
      <c r="I27" s="15">
        <v>0</v>
      </c>
      <c r="J27" s="15"/>
      <c r="K27" s="15"/>
      <c r="L27" s="15">
        <f t="shared" si="2"/>
        <v>4614.62</v>
      </c>
      <c r="M27" s="15">
        <v>172.32</v>
      </c>
      <c r="N27" s="15">
        <f t="shared" si="1"/>
        <v>4442.3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145.91999999999999</v>
      </c>
      <c r="H28" s="15">
        <v>1449</v>
      </c>
      <c r="I28" s="15"/>
      <c r="J28" s="15"/>
      <c r="K28" s="15"/>
      <c r="L28" s="15">
        <f t="shared" si="2"/>
        <v>4513.62</v>
      </c>
      <c r="M28" s="15">
        <v>172.32</v>
      </c>
      <c r="N28" s="15">
        <f t="shared" si="1"/>
        <v>4341.3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187</v>
      </c>
      <c r="C31" s="8" t="s">
        <v>64</v>
      </c>
      <c r="D31" s="1" t="s">
        <v>65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66</v>
      </c>
      <c r="D32" s="1" t="s">
        <v>67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29</v>
      </c>
      <c r="C33" s="8" t="s">
        <v>68</v>
      </c>
      <c r="D33" s="1" t="s">
        <v>69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70</v>
      </c>
      <c r="D34" s="8" t="s">
        <v>71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DFA7-2243-4932-8CBA-94EA44F6D0D3}">
  <dimension ref="A1:P40"/>
  <sheetViews>
    <sheetView showGridLines="0" topLeftCell="A19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73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520.59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13411.59</v>
      </c>
      <c r="M19" s="15">
        <v>995.84</v>
      </c>
      <c r="N19" s="15">
        <f t="shared" si="1"/>
        <v>12415.75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390.14</v>
      </c>
      <c r="H22" s="15">
        <v>1550</v>
      </c>
      <c r="I22" s="15">
        <v>0</v>
      </c>
      <c r="J22" s="15">
        <v>0</v>
      </c>
      <c r="K22" s="15"/>
      <c r="L22" s="15">
        <f t="shared" si="2"/>
        <v>4960.1399999999994</v>
      </c>
      <c r="M22" s="15">
        <v>260.87</v>
      </c>
      <c r="N22" s="15">
        <f>+L22-M22</f>
        <v>4699.2699999999995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730.01</v>
      </c>
      <c r="H24" s="15">
        <v>1800</v>
      </c>
      <c r="I24" s="15">
        <v>500</v>
      </c>
      <c r="J24" s="15"/>
      <c r="K24" s="15"/>
      <c r="L24" s="15">
        <f>SUM(F24:K24)</f>
        <v>8727.01</v>
      </c>
      <c r="M24" s="15">
        <v>523.6</v>
      </c>
      <c r="N24" s="15">
        <f t="shared" si="1"/>
        <v>8203.41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65</v>
      </c>
      <c r="E25" s="2" t="s">
        <v>38</v>
      </c>
      <c r="F25" s="15">
        <v>7392</v>
      </c>
      <c r="G25" s="15">
        <v>646.79999999999995</v>
      </c>
      <c r="H25" s="15">
        <v>2300</v>
      </c>
      <c r="I25" s="15">
        <v>500</v>
      </c>
      <c r="J25" s="15"/>
      <c r="K25" s="15"/>
      <c r="L25" s="15">
        <f t="shared" si="2"/>
        <v>10838.8</v>
      </c>
      <c r="M25" s="15">
        <v>704.01</v>
      </c>
      <c r="N25" s="15">
        <f t="shared" si="1"/>
        <v>10134.789999999999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6768</v>
      </c>
      <c r="G26" s="15">
        <v>592.20000000000005</v>
      </c>
      <c r="H26" s="15">
        <v>1550</v>
      </c>
      <c r="I26" s="15">
        <v>0</v>
      </c>
      <c r="J26" s="15"/>
      <c r="K26" s="15"/>
      <c r="L26" s="15">
        <f t="shared" si="2"/>
        <v>8910.2000000000007</v>
      </c>
      <c r="M26" s="15">
        <v>572.87</v>
      </c>
      <c r="N26" s="15">
        <f t="shared" si="1"/>
        <v>8337.33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376.96</v>
      </c>
      <c r="H27" s="15">
        <v>1550</v>
      </c>
      <c r="I27" s="15">
        <v>0</v>
      </c>
      <c r="J27" s="15"/>
      <c r="K27" s="15"/>
      <c r="L27" s="15">
        <f t="shared" si="2"/>
        <v>4845.66</v>
      </c>
      <c r="M27" s="15">
        <v>188.84</v>
      </c>
      <c r="N27" s="15">
        <f t="shared" si="1"/>
        <v>4656.82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133.76</v>
      </c>
      <c r="H28" s="15">
        <v>1449</v>
      </c>
      <c r="I28" s="15"/>
      <c r="J28" s="15"/>
      <c r="K28" s="15"/>
      <c r="L28" s="15">
        <f t="shared" si="2"/>
        <v>4501.46</v>
      </c>
      <c r="M28" s="15">
        <v>170.66</v>
      </c>
      <c r="N28" s="15">
        <f t="shared" si="1"/>
        <v>4330.8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/>
      <c r="B34" s="2"/>
      <c r="C34" s="8"/>
      <c r="D34" s="8"/>
      <c r="E34" s="2"/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64EE-51D8-4D46-B459-440F5BFE9F59}">
  <dimension ref="A1:P40"/>
  <sheetViews>
    <sheetView showGridLines="0" topLeftCell="A24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76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913.8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13804.8</v>
      </c>
      <c r="M19" s="15">
        <v>1014.83</v>
      </c>
      <c r="N19" s="15">
        <f t="shared" si="1"/>
        <v>12789.97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547.47</v>
      </c>
      <c r="H22" s="15">
        <v>1550</v>
      </c>
      <c r="I22" s="15">
        <v>0</v>
      </c>
      <c r="J22" s="15">
        <v>0</v>
      </c>
      <c r="K22" s="15"/>
      <c r="L22" s="15">
        <f t="shared" si="2"/>
        <v>5117.47</v>
      </c>
      <c r="M22" s="15">
        <v>268.47000000000003</v>
      </c>
      <c r="N22" s="15">
        <f>+L22-M22</f>
        <v>4849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1406.6</v>
      </c>
      <c r="H24" s="15">
        <v>1800</v>
      </c>
      <c r="I24" s="15">
        <v>500</v>
      </c>
      <c r="J24" s="15"/>
      <c r="K24" s="15"/>
      <c r="L24" s="15">
        <f>SUM(F24:K24)</f>
        <v>9403.6</v>
      </c>
      <c r="M24" s="15">
        <v>556.28</v>
      </c>
      <c r="N24" s="15">
        <f t="shared" si="1"/>
        <v>8847.32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83</v>
      </c>
      <c r="E25" s="2" t="s">
        <v>38</v>
      </c>
      <c r="F25" s="15">
        <v>7392</v>
      </c>
      <c r="G25" s="15">
        <v>1016.4</v>
      </c>
      <c r="H25" s="15">
        <v>2300</v>
      </c>
      <c r="I25" s="15">
        <v>500</v>
      </c>
      <c r="J25" s="15"/>
      <c r="K25" s="15"/>
      <c r="L25" s="15">
        <f t="shared" si="2"/>
        <v>11208.4</v>
      </c>
      <c r="M25" s="15">
        <v>721.87</v>
      </c>
      <c r="N25" s="15">
        <f t="shared" si="1"/>
        <v>10486.529999999999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6768</v>
      </c>
      <c r="G26" s="15">
        <v>634.5</v>
      </c>
      <c r="H26" s="15">
        <v>1550</v>
      </c>
      <c r="I26" s="15">
        <v>0</v>
      </c>
      <c r="J26" s="15"/>
      <c r="K26" s="15"/>
      <c r="L26" s="15">
        <f t="shared" si="2"/>
        <v>8952.5</v>
      </c>
      <c r="M26" s="15">
        <v>574.91</v>
      </c>
      <c r="N26" s="15">
        <f t="shared" si="1"/>
        <v>8377.59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291.83999999999997</v>
      </c>
      <c r="H27" s="15">
        <v>1550</v>
      </c>
      <c r="I27" s="15">
        <v>0</v>
      </c>
      <c r="J27" s="15"/>
      <c r="K27" s="15"/>
      <c r="L27" s="15">
        <f t="shared" si="2"/>
        <v>4760.54</v>
      </c>
      <c r="M27" s="15">
        <v>184.74</v>
      </c>
      <c r="N27" s="15">
        <f t="shared" si="1"/>
        <v>4575.8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243.2</v>
      </c>
      <c r="H28" s="15">
        <v>1449</v>
      </c>
      <c r="I28" s="15"/>
      <c r="J28" s="15"/>
      <c r="K28" s="15"/>
      <c r="L28" s="15">
        <f t="shared" si="2"/>
        <v>4610.8999999999996</v>
      </c>
      <c r="M28" s="15">
        <v>175.95</v>
      </c>
      <c r="N28" s="15">
        <f t="shared" si="1"/>
        <v>4434.95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D0A8A-2601-476B-8551-68A2882952AF}">
  <dimension ref="A1:P40"/>
  <sheetViews>
    <sheetView showGridLines="0" topLeftCell="A19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456.9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13347.9</v>
      </c>
      <c r="M19" s="15">
        <v>1000.02</v>
      </c>
      <c r="N19" s="15">
        <f t="shared" si="1"/>
        <v>12347.88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135.29</v>
      </c>
      <c r="H22" s="15">
        <v>1550</v>
      </c>
      <c r="I22" s="15">
        <v>0</v>
      </c>
      <c r="J22" s="15">
        <v>0</v>
      </c>
      <c r="K22" s="15"/>
      <c r="L22" s="15">
        <f t="shared" si="2"/>
        <v>4705.29</v>
      </c>
      <c r="M22" s="15">
        <v>252.9</v>
      </c>
      <c r="N22" s="15">
        <f>+L22-M22</f>
        <v>4452.3900000000003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237.4</v>
      </c>
      <c r="H24" s="15">
        <v>1800</v>
      </c>
      <c r="I24" s="15">
        <v>500</v>
      </c>
      <c r="J24" s="15"/>
      <c r="K24" s="15"/>
      <c r="L24" s="15">
        <f>SUM(F24:K24)</f>
        <v>8234.4</v>
      </c>
      <c r="M24" s="15">
        <v>510.96</v>
      </c>
      <c r="N24" s="15">
        <f t="shared" si="1"/>
        <v>7723.44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</v>
      </c>
      <c r="E25" s="2" t="s">
        <v>38</v>
      </c>
      <c r="F25" s="15">
        <v>7392</v>
      </c>
      <c r="G25" s="15">
        <v>308</v>
      </c>
      <c r="H25" s="15">
        <v>2300</v>
      </c>
      <c r="I25" s="15">
        <v>500</v>
      </c>
      <c r="J25" s="15"/>
      <c r="K25" s="15"/>
      <c r="L25" s="15">
        <f t="shared" si="2"/>
        <v>10500</v>
      </c>
      <c r="M25" s="15">
        <v>595.71</v>
      </c>
      <c r="N25" s="15">
        <f t="shared" si="1"/>
        <v>9904.2900000000009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8</v>
      </c>
      <c r="D26" s="1" t="s">
        <v>5</v>
      </c>
      <c r="E26" s="2" t="s">
        <v>38</v>
      </c>
      <c r="F26" s="15">
        <v>5640</v>
      </c>
      <c r="G26" s="15"/>
      <c r="H26" s="15">
        <v>1291.67</v>
      </c>
      <c r="I26" s="15">
        <v>0</v>
      </c>
      <c r="J26" s="15"/>
      <c r="K26" s="15"/>
      <c r="L26" s="15">
        <f t="shared" si="2"/>
        <v>6931.67</v>
      </c>
      <c r="M26" s="15">
        <v>494.81</v>
      </c>
      <c r="N26" s="15">
        <f t="shared" si="1"/>
        <v>6436.86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/>
      <c r="H27" s="15">
        <v>1550</v>
      </c>
      <c r="I27" s="15">
        <v>0</v>
      </c>
      <c r="J27" s="15"/>
      <c r="K27" s="15"/>
      <c r="L27" s="15">
        <f t="shared" si="2"/>
        <v>4468.7</v>
      </c>
      <c r="M27" s="15">
        <v>172.94</v>
      </c>
      <c r="N27" s="15">
        <f t="shared" si="1"/>
        <v>4295.76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121.6</v>
      </c>
      <c r="H28" s="15">
        <v>1449</v>
      </c>
      <c r="I28" s="15"/>
      <c r="J28" s="15"/>
      <c r="K28" s="15"/>
      <c r="L28" s="15">
        <f t="shared" si="2"/>
        <v>4489.2999999999993</v>
      </c>
      <c r="M28" s="15">
        <v>172.01</v>
      </c>
      <c r="N28" s="15">
        <f t="shared" si="1"/>
        <v>4317.2899999999991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7C05-1816-4ECD-A5D9-187149BF6D32}">
  <dimension ref="A1:P40"/>
  <sheetViews>
    <sheetView showGridLines="0" topLeftCell="A17" zoomScale="85" zoomScaleNormal="85" workbookViewId="0">
      <selection activeCell="D26" sqref="D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78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1096.56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13987.56</v>
      </c>
      <c r="M19" s="15">
        <f>582.62+448.29</f>
        <v>1030.9100000000001</v>
      </c>
      <c r="N19" s="15">
        <f t="shared" si="1"/>
        <v>12956.65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0</v>
      </c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362.25+126+258.55</f>
        <v>746.8</v>
      </c>
      <c r="N20" s="15">
        <f t="shared" si="1"/>
        <v>8628.2000000000007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>
        <v>0</v>
      </c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453.06</v>
      </c>
      <c r="H22" s="15">
        <v>1550</v>
      </c>
      <c r="I22" s="15">
        <v>0</v>
      </c>
      <c r="J22" s="15">
        <v>0</v>
      </c>
      <c r="K22" s="15"/>
      <c r="L22" s="15">
        <f t="shared" si="2"/>
        <v>5023.0599999999995</v>
      </c>
      <c r="M22" s="15">
        <f>167.75+61.42+39.08</f>
        <v>268.25</v>
      </c>
      <c r="N22" s="15">
        <f>+L22-M22</f>
        <v>4754.8099999999995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2083.19</v>
      </c>
      <c r="H24" s="15">
        <v>1800</v>
      </c>
      <c r="I24" s="15">
        <v>500</v>
      </c>
      <c r="J24" s="15"/>
      <c r="K24" s="15"/>
      <c r="L24" s="15">
        <f>SUM(F24:K24)</f>
        <v>10080.19</v>
      </c>
      <c r="M24" s="15">
        <f>375.78+224.33</f>
        <v>600.11</v>
      </c>
      <c r="N24" s="15">
        <f t="shared" si="1"/>
        <v>9480.08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83</v>
      </c>
      <c r="E25" s="2" t="s">
        <v>38</v>
      </c>
      <c r="F25" s="15">
        <v>7392</v>
      </c>
      <c r="G25" s="15">
        <v>762.3</v>
      </c>
      <c r="H25" s="15">
        <v>2300</v>
      </c>
      <c r="I25" s="15">
        <v>500</v>
      </c>
      <c r="J25" s="15"/>
      <c r="K25" s="15"/>
      <c r="L25" s="15">
        <f t="shared" si="2"/>
        <v>10954.3</v>
      </c>
      <c r="M25" s="15">
        <f>393.85+323.8</f>
        <v>717.65000000000009</v>
      </c>
      <c r="N25" s="15">
        <f t="shared" si="1"/>
        <v>10236.65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79</v>
      </c>
      <c r="D26" s="1" t="s">
        <v>80</v>
      </c>
      <c r="E26" s="2" t="s">
        <v>38</v>
      </c>
      <c r="F26" s="15">
        <v>6750</v>
      </c>
      <c r="G26" s="15"/>
      <c r="H26" s="15">
        <v>250</v>
      </c>
      <c r="I26" s="15">
        <v>0</v>
      </c>
      <c r="J26" s="15"/>
      <c r="K26" s="15"/>
      <c r="L26" s="15">
        <f t="shared" si="2"/>
        <v>7000</v>
      </c>
      <c r="M26" s="15">
        <v>0</v>
      </c>
      <c r="N26" s="15">
        <f t="shared" si="1"/>
        <v>7000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437.76</v>
      </c>
      <c r="H27" s="15">
        <v>1550</v>
      </c>
      <c r="I27" s="15">
        <v>0</v>
      </c>
      <c r="J27" s="15"/>
      <c r="K27" s="15"/>
      <c r="L27" s="15">
        <f t="shared" si="2"/>
        <v>4906.46</v>
      </c>
      <c r="M27" s="15">
        <f>162.12+31.97</f>
        <v>194.09</v>
      </c>
      <c r="N27" s="15">
        <f t="shared" si="1"/>
        <v>4712.37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291.83999999999997</v>
      </c>
      <c r="H28" s="15">
        <v>1449</v>
      </c>
      <c r="I28" s="15"/>
      <c r="J28" s="15"/>
      <c r="K28" s="15"/>
      <c r="L28" s="15">
        <f t="shared" si="2"/>
        <v>4659.54</v>
      </c>
      <c r="M28" s="15">
        <f>155.07+25.16</f>
        <v>180.23</v>
      </c>
      <c r="N28" s="15">
        <f t="shared" si="1"/>
        <v>4479.3100000000004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E27D-55FE-46CD-9DF2-6B009AAD8CB4}">
  <dimension ref="A1:P40"/>
  <sheetViews>
    <sheetView showGridLines="0" topLeftCell="A13" zoomScale="85" zoomScaleNormal="85" workbookViewId="0">
      <selection activeCell="M29" sqref="M2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82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19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25</v>
      </c>
      <c r="B11" s="23" t="s">
        <v>26</v>
      </c>
      <c r="C11" s="19" t="s">
        <v>27</v>
      </c>
      <c r="D11" s="24" t="s">
        <v>28</v>
      </c>
      <c r="E11" s="25" t="s">
        <v>29</v>
      </c>
      <c r="F11" s="22" t="s">
        <v>39</v>
      </c>
      <c r="G11" s="22" t="s">
        <v>40</v>
      </c>
      <c r="H11" s="22" t="s">
        <v>42</v>
      </c>
      <c r="I11" s="22" t="s">
        <v>41</v>
      </c>
      <c r="J11" s="22" t="s">
        <v>30</v>
      </c>
      <c r="K11" s="22" t="s">
        <v>31</v>
      </c>
      <c r="L11" s="22" t="s">
        <v>32</v>
      </c>
      <c r="M11" s="22" t="s">
        <v>33</v>
      </c>
      <c r="N11" s="22" t="s">
        <v>34</v>
      </c>
      <c r="O11" s="27" t="s">
        <v>35</v>
      </c>
      <c r="P11" s="28"/>
    </row>
    <row r="12" spans="1:16" ht="48" customHeight="1" x14ac:dyDescent="0.25">
      <c r="A12" s="22"/>
      <c r="B12" s="23"/>
      <c r="C12" s="19" t="s">
        <v>37</v>
      </c>
      <c r="D12" s="24"/>
      <c r="E12" s="26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36</v>
      </c>
      <c r="P12" s="18" t="s">
        <v>43</v>
      </c>
    </row>
    <row r="13" spans="1:16" ht="30" customHeight="1" x14ac:dyDescent="0.25">
      <c r="A13" s="1">
        <v>1</v>
      </c>
      <c r="B13" s="16" t="s">
        <v>20</v>
      </c>
      <c r="C13" s="8" t="s">
        <v>44</v>
      </c>
      <c r="D13" s="1" t="s">
        <v>21</v>
      </c>
      <c r="E13" s="2" t="s">
        <v>38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20</v>
      </c>
      <c r="C14" s="9" t="s">
        <v>45</v>
      </c>
      <c r="D14" s="1" t="s">
        <v>22</v>
      </c>
      <c r="E14" s="2" t="s">
        <v>38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16" t="s">
        <v>20</v>
      </c>
      <c r="C15" s="9" t="s">
        <v>46</v>
      </c>
      <c r="D15" s="1" t="s">
        <v>47</v>
      </c>
      <c r="E15" s="2" t="s">
        <v>38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16" t="s">
        <v>20</v>
      </c>
      <c r="C16" s="9" t="s">
        <v>56</v>
      </c>
      <c r="D16" s="1" t="s">
        <v>23</v>
      </c>
      <c r="E16" s="2" t="s">
        <v>38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5</v>
      </c>
      <c r="B17" s="16" t="s">
        <v>20</v>
      </c>
      <c r="C17" s="9" t="s">
        <v>57</v>
      </c>
      <c r="D17" s="1" t="s">
        <v>24</v>
      </c>
      <c r="E17" s="2" t="s">
        <v>38</v>
      </c>
      <c r="F17" s="15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f t="shared" si="0"/>
        <v>6</v>
      </c>
      <c r="B18" s="2" t="s">
        <v>10</v>
      </c>
      <c r="C18" s="8" t="s">
        <v>49</v>
      </c>
      <c r="D18" s="1" t="s">
        <v>1</v>
      </c>
      <c r="E18" s="2" t="s">
        <v>38</v>
      </c>
      <c r="F18" s="15">
        <v>7500</v>
      </c>
      <c r="G18" s="15">
        <v>0</v>
      </c>
      <c r="H18" s="15">
        <v>4500</v>
      </c>
      <c r="I18" s="15"/>
      <c r="J18" s="15">
        <v>375</v>
      </c>
      <c r="K18" s="15"/>
      <c r="L18" s="15">
        <f>SUM(F18:K18)</f>
        <v>12375</v>
      </c>
      <c r="M18" s="15">
        <f>362.25+289.8</f>
        <v>652.04999999999995</v>
      </c>
      <c r="N18" s="15">
        <f t="shared" ref="N18:N28" si="1">+L18-M18</f>
        <v>11722.95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10</v>
      </c>
      <c r="C19" s="8" t="s">
        <v>9</v>
      </c>
      <c r="D19" s="1" t="s">
        <v>48</v>
      </c>
      <c r="E19" s="2" t="s">
        <v>38</v>
      </c>
      <c r="F19" s="15">
        <v>10966</v>
      </c>
      <c r="G19" s="15">
        <v>502.59</v>
      </c>
      <c r="H19" s="15">
        <v>1550</v>
      </c>
      <c r="I19" s="15">
        <v>0</v>
      </c>
      <c r="J19" s="15">
        <v>375</v>
      </c>
      <c r="K19" s="15"/>
      <c r="L19" s="15">
        <f t="shared" ref="L19:L34" si="2">SUM(F19:K19)</f>
        <v>13393.59</v>
      </c>
      <c r="M19" s="15">
        <f>553.93+460.61</f>
        <v>1014.54</v>
      </c>
      <c r="N19" s="15">
        <f t="shared" si="1"/>
        <v>12379.05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10</v>
      </c>
      <c r="C20" s="8" t="s">
        <v>50</v>
      </c>
      <c r="D20" s="8" t="s">
        <v>51</v>
      </c>
      <c r="E20" s="2" t="s">
        <v>38</v>
      </c>
      <c r="F20" s="15">
        <v>7500</v>
      </c>
      <c r="G20" s="15">
        <v>140.63999999999999</v>
      </c>
      <c r="H20" s="15">
        <v>1500</v>
      </c>
      <c r="I20" s="15">
        <v>0</v>
      </c>
      <c r="J20" s="15">
        <v>375</v>
      </c>
      <c r="K20" s="15"/>
      <c r="L20" s="15">
        <f t="shared" si="2"/>
        <v>9515.64</v>
      </c>
      <c r="M20" s="15">
        <f>369.04+126+258.55</f>
        <v>753.59</v>
      </c>
      <c r="N20" s="15">
        <f t="shared" si="1"/>
        <v>8762.0499999999993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10</v>
      </c>
      <c r="C21" s="8" t="s">
        <v>12</v>
      </c>
      <c r="D21" s="1" t="s">
        <v>3</v>
      </c>
      <c r="E21" s="2" t="s">
        <v>38</v>
      </c>
      <c r="F21" s="15">
        <v>4243</v>
      </c>
      <c r="G21" s="15"/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10</v>
      </c>
      <c r="C22" s="8" t="s">
        <v>52</v>
      </c>
      <c r="D22" s="1" t="s">
        <v>4</v>
      </c>
      <c r="E22" s="2" t="s">
        <v>38</v>
      </c>
      <c r="F22" s="15">
        <v>3020</v>
      </c>
      <c r="G22" s="15">
        <v>509.71</v>
      </c>
      <c r="H22" s="15">
        <v>1550</v>
      </c>
      <c r="I22" s="15">
        <v>0</v>
      </c>
      <c r="J22" s="15">
        <v>0</v>
      </c>
      <c r="K22" s="15"/>
      <c r="L22" s="15">
        <f t="shared" si="2"/>
        <v>5079.71</v>
      </c>
      <c r="M22" s="15">
        <f>170.48+61.42+43.75</f>
        <v>275.64999999999998</v>
      </c>
      <c r="N22" s="15">
        <f>+L22-M22</f>
        <v>4804.0600000000004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10</v>
      </c>
      <c r="C23" s="8" t="s">
        <v>53</v>
      </c>
      <c r="D23" s="1" t="s">
        <v>2</v>
      </c>
      <c r="E23" s="2" t="s">
        <v>38</v>
      </c>
      <c r="F23" s="15">
        <v>3531</v>
      </c>
      <c r="G23" s="15"/>
      <c r="H23" s="15">
        <v>1550</v>
      </c>
      <c r="I23" s="15">
        <v>0</v>
      </c>
      <c r="J23" s="15">
        <v>0</v>
      </c>
      <c r="K23" s="15"/>
      <c r="L23" s="15">
        <f t="shared" si="2"/>
        <v>5081</v>
      </c>
      <c r="M23" s="15">
        <v>223.99</v>
      </c>
      <c r="N23" s="15">
        <f t="shared" si="1"/>
        <v>4857.01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10</v>
      </c>
      <c r="C24" s="8" t="s">
        <v>13</v>
      </c>
      <c r="D24" s="1" t="s">
        <v>81</v>
      </c>
      <c r="E24" s="2" t="s">
        <v>38</v>
      </c>
      <c r="F24" s="15">
        <v>5697</v>
      </c>
      <c r="G24" s="15">
        <v>2219.69</v>
      </c>
      <c r="H24" s="15">
        <v>1800</v>
      </c>
      <c r="I24" s="15">
        <v>500</v>
      </c>
      <c r="J24" s="15"/>
      <c r="K24" s="15"/>
      <c r="L24" s="15">
        <f>SUM(F24:K24)</f>
        <v>10216.69</v>
      </c>
      <c r="M24" s="15">
        <f>382.38+242.74</f>
        <v>625.12</v>
      </c>
      <c r="N24" s="15">
        <f t="shared" si="1"/>
        <v>9591.57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10</v>
      </c>
      <c r="C25" s="8" t="s">
        <v>14</v>
      </c>
      <c r="D25" s="1" t="s">
        <v>6</v>
      </c>
      <c r="E25" s="2" t="s">
        <v>38</v>
      </c>
      <c r="F25" s="15">
        <v>7392</v>
      </c>
      <c r="G25" s="15">
        <v>477.4</v>
      </c>
      <c r="H25" s="15">
        <v>2300</v>
      </c>
      <c r="I25" s="15">
        <v>500</v>
      </c>
      <c r="J25" s="15"/>
      <c r="K25" s="15"/>
      <c r="L25" s="15">
        <f t="shared" si="2"/>
        <v>10669.4</v>
      </c>
      <c r="M25" s="15">
        <f>380.09+332.29</f>
        <v>712.38</v>
      </c>
      <c r="N25" s="15">
        <f t="shared" si="1"/>
        <v>9957.02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10</v>
      </c>
      <c r="C26" s="8" t="s">
        <v>79</v>
      </c>
      <c r="D26" s="1" t="s">
        <v>80</v>
      </c>
      <c r="E26" s="2" t="s">
        <v>38</v>
      </c>
      <c r="F26" s="15">
        <v>6750</v>
      </c>
      <c r="G26" s="15"/>
      <c r="H26" s="15">
        <v>250</v>
      </c>
      <c r="I26" s="15">
        <v>0</v>
      </c>
      <c r="J26" s="15"/>
      <c r="K26" s="15"/>
      <c r="L26" s="15">
        <f t="shared" si="2"/>
        <v>7000</v>
      </c>
      <c r="M26" s="15">
        <v>0</v>
      </c>
      <c r="N26" s="15">
        <f t="shared" si="1"/>
        <v>7000</v>
      </c>
      <c r="O26" s="15"/>
      <c r="P26" s="15"/>
    </row>
    <row r="27" spans="1:16" ht="30" customHeight="1" x14ac:dyDescent="0.25">
      <c r="A27" s="1">
        <v>15</v>
      </c>
      <c r="B27" s="2" t="s">
        <v>10</v>
      </c>
      <c r="C27" s="8" t="s">
        <v>15</v>
      </c>
      <c r="D27" s="1" t="s">
        <v>7</v>
      </c>
      <c r="E27" s="2" t="s">
        <v>38</v>
      </c>
      <c r="F27" s="15">
        <v>2918.7</v>
      </c>
      <c r="G27" s="15">
        <v>437.76</v>
      </c>
      <c r="H27" s="15">
        <v>1550</v>
      </c>
      <c r="I27" s="15">
        <v>0</v>
      </c>
      <c r="J27" s="15"/>
      <c r="K27" s="15"/>
      <c r="L27" s="15">
        <f t="shared" si="2"/>
        <v>4906.46</v>
      </c>
      <c r="M27" s="15">
        <f>162.12+35.44</f>
        <v>197.56</v>
      </c>
      <c r="N27" s="15">
        <f t="shared" si="1"/>
        <v>4708.8999999999996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58</v>
      </c>
      <c r="D28" s="1" t="s">
        <v>59</v>
      </c>
      <c r="E28" s="2" t="s">
        <v>38</v>
      </c>
      <c r="F28" s="15">
        <v>2918.7</v>
      </c>
      <c r="G28" s="15">
        <v>133.76</v>
      </c>
      <c r="H28" s="15">
        <v>1449</v>
      </c>
      <c r="I28" s="15"/>
      <c r="J28" s="15"/>
      <c r="K28" s="15"/>
      <c r="L28" s="15">
        <f t="shared" si="2"/>
        <v>4501.46</v>
      </c>
      <c r="M28" s="15">
        <f>147.43+28.44</f>
        <v>175.87</v>
      </c>
      <c r="N28" s="15">
        <f t="shared" si="1"/>
        <v>4325.59</v>
      </c>
      <c r="O28" s="15"/>
      <c r="P28" s="15"/>
    </row>
    <row r="29" spans="1:16" ht="30" customHeight="1" x14ac:dyDescent="0.25">
      <c r="A29" s="1">
        <v>17</v>
      </c>
      <c r="B29" s="2">
        <v>184</v>
      </c>
      <c r="C29" s="8" t="s">
        <v>16</v>
      </c>
      <c r="D29" s="8" t="s">
        <v>17</v>
      </c>
      <c r="E29" s="2" t="s">
        <v>38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18</v>
      </c>
      <c r="B30" s="2">
        <v>183</v>
      </c>
      <c r="C30" s="8" t="s">
        <v>62</v>
      </c>
      <c r="D30" s="1" t="s">
        <v>63</v>
      </c>
      <c r="E30" s="2" t="s">
        <v>38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30" customHeight="1" x14ac:dyDescent="0.25">
      <c r="A31" s="1">
        <v>19</v>
      </c>
      <c r="B31" s="2">
        <v>29</v>
      </c>
      <c r="C31" s="8" t="s">
        <v>66</v>
      </c>
      <c r="D31" s="1" t="s">
        <v>67</v>
      </c>
      <c r="E31" s="2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20</v>
      </c>
      <c r="B32" s="2">
        <v>29</v>
      </c>
      <c r="C32" s="8" t="s">
        <v>68</v>
      </c>
      <c r="D32" s="1" t="s">
        <v>69</v>
      </c>
      <c r="E32" s="2" t="s">
        <v>38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v>21</v>
      </c>
      <c r="B33" s="2">
        <v>187</v>
      </c>
      <c r="C33" s="8" t="s">
        <v>70</v>
      </c>
      <c r="D33" s="8" t="s">
        <v>71</v>
      </c>
      <c r="E33" s="2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0" customHeight="1" x14ac:dyDescent="0.25">
      <c r="A34" s="1">
        <v>22</v>
      </c>
      <c r="B34" s="2">
        <v>187</v>
      </c>
      <c r="C34" s="8" t="s">
        <v>74</v>
      </c>
      <c r="D34" s="8" t="s">
        <v>75</v>
      </c>
      <c r="E34" s="2" t="s">
        <v>38</v>
      </c>
      <c r="F34" s="15" t="s">
        <v>0</v>
      </c>
      <c r="G34" s="15"/>
      <c r="H34" s="15"/>
      <c r="I34" s="15"/>
      <c r="J34" s="15"/>
      <c r="K34" s="15">
        <v>0</v>
      </c>
      <c r="L34" s="15">
        <f t="shared" si="2"/>
        <v>0</v>
      </c>
      <c r="M34" s="15"/>
      <c r="N34" s="15"/>
      <c r="O34" s="15"/>
      <c r="P34" s="15"/>
    </row>
    <row r="36" spans="1:16" ht="15" customHeight="1" x14ac:dyDescent="0.25"/>
    <row r="38" spans="1:16" s="6" customFormat="1" ht="0.95" customHeight="1" x14ac:dyDescent="0.25">
      <c r="A38"/>
      <c r="B3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0"/>
    </row>
    <row r="39" spans="1:16" x14ac:dyDescent="0.25">
      <c r="C39" s="7" t="s">
        <v>18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B40" s="5"/>
      <c r="C40" s="7" t="s">
        <v>55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2023-01-26T15:36:37Z</cp:lastPrinted>
  <dcterms:created xsi:type="dcterms:W3CDTF">2017-02-15T21:48:50Z</dcterms:created>
  <dcterms:modified xsi:type="dcterms:W3CDTF">2023-01-26T15:47:00Z</dcterms:modified>
</cp:coreProperties>
</file>